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1835"/>
  </bookViews>
  <sheets>
    <sheet name="Mlada osoba" sheetId="1" r:id="rId1"/>
    <sheet name="Preduzeće" sheetId="2" r:id="rId2"/>
    <sheet name="Država" sheetId="3" r:id="rId3"/>
  </sheets>
  <calcPr calcId="152511"/>
</workbook>
</file>

<file path=xl/calcChain.xml><?xml version="1.0" encoding="utf-8"?>
<calcChain xmlns="http://schemas.openxmlformats.org/spreadsheetml/2006/main">
  <c r="T11" i="2" l="1"/>
  <c r="L10" i="2"/>
  <c r="H13" i="2"/>
  <c r="D13" i="2"/>
  <c r="T26" i="2"/>
  <c r="T24" i="2"/>
  <c r="T21" i="2"/>
  <c r="T19" i="2"/>
  <c r="T10" i="2"/>
  <c r="T9" i="2"/>
  <c r="T8" i="2"/>
  <c r="L19" i="2"/>
  <c r="T6" i="2"/>
  <c r="E30" i="1" l="1"/>
  <c r="E27" i="1"/>
  <c r="D27" i="1"/>
  <c r="C27" i="1"/>
  <c r="E21" i="1"/>
  <c r="E23" i="1" s="1"/>
  <c r="E25" i="1" s="1"/>
  <c r="D21" i="1"/>
  <c r="C21" i="1"/>
  <c r="C23" i="1" s="1"/>
  <c r="C25" i="1" s="1"/>
  <c r="C11" i="1"/>
  <c r="D23" i="1"/>
  <c r="D25" i="1" s="1"/>
  <c r="E28" i="1" l="1"/>
  <c r="E11" i="1"/>
  <c r="D11" i="1"/>
  <c r="G18" i="3" l="1"/>
  <c r="G19" i="3"/>
  <c r="G21" i="3"/>
  <c r="F21" i="3"/>
  <c r="G17" i="3"/>
  <c r="D9" i="3"/>
  <c r="D15" i="3" s="1"/>
  <c r="D22" i="3" s="1"/>
  <c r="D13" i="1" l="1"/>
  <c r="D15" i="1" s="1"/>
  <c r="D17" i="1" s="1"/>
  <c r="E13" i="1"/>
  <c r="E15" i="1"/>
  <c r="E17" i="1" s="1"/>
  <c r="C13" i="1"/>
  <c r="C15" i="1" s="1"/>
  <c r="C17" i="1" s="1"/>
  <c r="E18" i="1" l="1"/>
  <c r="G9" i="3"/>
  <c r="G15" i="3" s="1"/>
  <c r="G22" i="3" s="1"/>
  <c r="F9" i="3"/>
  <c r="F15" i="3" s="1"/>
  <c r="F22" i="3" s="1"/>
  <c r="E9" i="3"/>
  <c r="E15" i="3" s="1"/>
  <c r="E22" i="3" s="1"/>
  <c r="E8" i="3"/>
  <c r="E14" i="3" s="1"/>
  <c r="E21" i="3" s="1"/>
  <c r="D8" i="3"/>
  <c r="D14" i="3" s="1"/>
  <c r="D21" i="3" s="1"/>
  <c r="P7" i="2"/>
  <c r="P19" i="2" s="1"/>
  <c r="P21" i="2" s="1"/>
  <c r="P24" i="2" s="1"/>
  <c r="P6" i="2"/>
  <c r="G7" i="3" s="1"/>
  <c r="G13" i="3" s="1"/>
  <c r="L11" i="2"/>
  <c r="F7" i="3" s="1"/>
  <c r="F13" i="3" s="1"/>
  <c r="F20" i="3" s="1"/>
  <c r="L6" i="2"/>
  <c r="L7" i="2" s="1"/>
  <c r="G20" i="3" l="1"/>
  <c r="L11" i="3"/>
  <c r="G16" i="3"/>
  <c r="G23" i="3" s="1"/>
  <c r="L8" i="2"/>
  <c r="L9" i="2"/>
  <c r="F5" i="3" s="1"/>
  <c r="F11" i="3" s="1"/>
  <c r="H16" i="2"/>
  <c r="H15" i="2"/>
  <c r="H11" i="2"/>
  <c r="H12" i="2" s="1"/>
  <c r="E5" i="3" s="1"/>
  <c r="E11" i="3" s="1"/>
  <c r="H9" i="2"/>
  <c r="H8" i="2"/>
  <c r="H7" i="2"/>
  <c r="D16" i="2"/>
  <c r="D15" i="2"/>
  <c r="D11" i="2"/>
  <c r="D12" i="2" s="1"/>
  <c r="D5" i="3" s="1"/>
  <c r="D11" i="3" s="1"/>
  <c r="D9" i="2"/>
  <c r="D8" i="2"/>
  <c r="D7" i="2"/>
  <c r="E18" i="3" l="1"/>
  <c r="D18" i="3"/>
  <c r="F18" i="3"/>
  <c r="E6" i="3"/>
  <c r="E12" i="3" s="1"/>
  <c r="E19" i="3" s="1"/>
  <c r="E7" i="3"/>
  <c r="E13" i="3" s="1"/>
  <c r="E20" i="3" s="1"/>
  <c r="D6" i="3"/>
  <c r="D12" i="3" s="1"/>
  <c r="D19" i="3" s="1"/>
  <c r="D7" i="3"/>
  <c r="D13" i="3" s="1"/>
  <c r="D20" i="3" s="1"/>
  <c r="F6" i="3"/>
  <c r="F12" i="3" s="1"/>
  <c r="F19" i="3" s="1"/>
  <c r="L21" i="2"/>
  <c r="P26" i="2"/>
  <c r="D4" i="3"/>
  <c r="D10" i="3" s="1"/>
  <c r="D17" i="3" s="1"/>
  <c r="I11" i="3" l="1"/>
  <c r="K11" i="3"/>
  <c r="J11" i="3"/>
  <c r="D16" i="3"/>
  <c r="D23" i="3" s="1"/>
  <c r="D19" i="2"/>
  <c r="D21" i="2" s="1"/>
  <c r="D24" i="2" s="1"/>
  <c r="D26" i="2" s="1"/>
  <c r="H19" i="2"/>
  <c r="H21" i="2" s="1"/>
  <c r="H24" i="2" s="1"/>
  <c r="H26" i="2" s="1"/>
  <c r="E4" i="3"/>
  <c r="E10" i="3" s="1"/>
  <c r="L24" i="2"/>
  <c r="L26" i="2" s="1"/>
  <c r="F4" i="3"/>
  <c r="F10" i="3" s="1"/>
  <c r="F16" i="3" l="1"/>
  <c r="F23" i="3" s="1"/>
  <c r="F17" i="3"/>
  <c r="E16" i="3"/>
  <c r="E23" i="3" s="1"/>
  <c r="E17" i="3"/>
</calcChain>
</file>

<file path=xl/sharedStrings.xml><?xml version="1.0" encoding="utf-8"?>
<sst xmlns="http://schemas.openxmlformats.org/spreadsheetml/2006/main" count="189" uniqueCount="82">
  <si>
    <t>Izvor</t>
  </si>
  <si>
    <t>Datum</t>
  </si>
  <si>
    <t>Septembar 2020</t>
  </si>
  <si>
    <t>Prosečna neto zarada za osobe sa srednjim obrazovanjem</t>
  </si>
  <si>
    <t>Iznos</t>
  </si>
  <si>
    <t>Vrsta troška</t>
  </si>
  <si>
    <t>1a. Osnovno obrazovanje</t>
  </si>
  <si>
    <t>1b. Srednje obrazovanje</t>
  </si>
  <si>
    <t>Troškovi dolaska na posao i odlaska sa posla</t>
  </si>
  <si>
    <t>2. Cena mesečne BUS+ karte</t>
  </si>
  <si>
    <t>Cena mesečne personalizovane karte za nezaposlene i studente</t>
  </si>
  <si>
    <t>Troškovi</t>
  </si>
  <si>
    <t>Trajanje prakse u mesecima</t>
  </si>
  <si>
    <t>Ukupni mesečni troškovi po praktikantu</t>
  </si>
  <si>
    <t>Ukupni troškovi prakse po praktikantu</t>
  </si>
  <si>
    <t>Procenjeni godišnji broj praktikanata</t>
  </si>
  <si>
    <t>Ukupni godišnji troškovi radnih praksi</t>
  </si>
  <si>
    <t>Preduzeće</t>
  </si>
  <si>
    <t>Troškovi rada</t>
  </si>
  <si>
    <t>Neto zarada</t>
  </si>
  <si>
    <t>Doprinosi na teret poslodavca</t>
  </si>
  <si>
    <t>Doprinosi na teret radnika</t>
  </si>
  <si>
    <t>PIO (14%)</t>
  </si>
  <si>
    <t>Zdravstveno (5,15%)</t>
  </si>
  <si>
    <t>Nezaposlenost (0,75%)</t>
  </si>
  <si>
    <t>PIO (11,5%)</t>
  </si>
  <si>
    <t>Neoporezivi deo zarade</t>
  </si>
  <si>
    <t>Poreska osnovica</t>
  </si>
  <si>
    <t>Porez na zarade (10%)</t>
  </si>
  <si>
    <t>Ukupni troškovi rada</t>
  </si>
  <si>
    <t>Neoporezivi iznos putnog troška (visina cene mesečne karte)</t>
  </si>
  <si>
    <t>Minimalni iznos za regres i topli obrok</t>
  </si>
  <si>
    <t>Bruto zarada</t>
  </si>
  <si>
    <t>Ukupno po praktikantu za celu radnu praksu</t>
  </si>
  <si>
    <t>Normirani troškovi (20%)</t>
  </si>
  <si>
    <t>Doprinosi za Zdravstvo na teret radnika (10,3%)</t>
  </si>
  <si>
    <t>Osnovica za poreze i doprinose</t>
  </si>
  <si>
    <t>Porez na ostale prihode (20%)</t>
  </si>
  <si>
    <t>Doprinosi za PIO na teret poslodavca (4%)</t>
  </si>
  <si>
    <t>Minimalna osnovica</t>
  </si>
  <si>
    <t>Doprinosi za Zdravstvo na teret poslodavca (2%)</t>
  </si>
  <si>
    <t>Subvencija poreza na zarade</t>
  </si>
  <si>
    <t>Subvencija doprinosa na teret radnika</t>
  </si>
  <si>
    <t>Scenario 1a</t>
  </si>
  <si>
    <t>Scenario 2a</t>
  </si>
  <si>
    <t>Scenario1b</t>
  </si>
  <si>
    <t>Scenario 2b</t>
  </si>
  <si>
    <t>Scenario 1a - Zasnivanje radnog odnosa</t>
  </si>
  <si>
    <t>Scenario 1b - Zasnivanje radnog odnosa (kompenzacija niža od minimalne osnovice - 28402 RSD) - npr. 25000RSD</t>
  </si>
  <si>
    <t>Subvencija doprinosa na teret poslodavaca</t>
  </si>
  <si>
    <t>Jedinica</t>
  </si>
  <si>
    <t>Vrsta subvencije</t>
  </si>
  <si>
    <t>Subvencija zarade praktikanta</t>
  </si>
  <si>
    <t>Subvencija troškova obuke</t>
  </si>
  <si>
    <t>Subvencija putnih tr. toplog obroka i regresa</t>
  </si>
  <si>
    <t>Subvencija poreza na zarade/ostale prihode</t>
  </si>
  <si>
    <t>Nema</t>
  </si>
  <si>
    <t>Država</t>
  </si>
  <si>
    <t>Neto minimalna zarada</t>
  </si>
  <si>
    <t>Prosečna neto zarada za osobe sa osnovnim obrazovanjem</t>
  </si>
  <si>
    <t>Ukupna troškovi po mladoj osobi</t>
  </si>
  <si>
    <t>1c. Visoko obrazovanje</t>
  </si>
  <si>
    <t>Prosečna neto zarada za osobe sa visokim obrazovanjem</t>
  </si>
  <si>
    <t>Scenario 1</t>
  </si>
  <si>
    <t>Scenario 2</t>
  </si>
  <si>
    <t>Scenario 3</t>
  </si>
  <si>
    <t>BDP 2020</t>
  </si>
  <si>
    <t>Ukupno</t>
  </si>
  <si>
    <t>Ukupni troškovi</t>
  </si>
  <si>
    <t>Ukupni troškovi kao % BDPa</t>
  </si>
  <si>
    <t>Mesečni troškovi po praktikantu</t>
  </si>
  <si>
    <t xml:space="preserve">Propuštena plata </t>
  </si>
  <si>
    <t>Praktikant</t>
  </si>
  <si>
    <t>Mladi praktikant</t>
  </si>
  <si>
    <t>Odrasli praktikant</t>
  </si>
  <si>
    <t>Ponderisan struktura učesnika</t>
  </si>
  <si>
    <t>Ukupno za sve praktikante</t>
  </si>
  <si>
    <t>Doprinosi za zdravstvo na teret poslodavca (2%)</t>
  </si>
  <si>
    <t>Scenario 3 - Ugovor o radnoj praksi (2/3 minimalne zarade - ispod minimalne osnovice)</t>
  </si>
  <si>
    <t>Troškovi obuke</t>
  </si>
  <si>
    <t>Scenario 2b - Ugovor o stručnom osposobljavanju  BEZ UGOVORENE NAKNADE</t>
  </si>
  <si>
    <t>Scenario 2a - Ugovor o stručnom osposobljavanju  SA UGOVORENOM NAKNADOM (30000RSD)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</si>
</sst>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2" xfId="0" applyBorder="1"/>
    <xf numFmtId="1" fontId="0" fillId="0" borderId="3" xfId="0" applyNumberForma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2" borderId="11" xfId="0" applyFill="1" applyBorder="1" applyAlignment="1">
      <alignment horizontal="left"/>
    </xf>
    <xf numFmtId="0" fontId="1" fillId="2" borderId="8" xfId="0" applyFont="1" applyFill="1" applyBorder="1"/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2" borderId="13" xfId="0" applyFont="1" applyFill="1" applyBorder="1"/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10" fontId="1" fillId="0" borderId="13" xfId="1" applyNumberFormat="1" applyFont="1" applyBorder="1" applyAlignment="1">
      <alignment horizontal="center"/>
    </xf>
    <xf numFmtId="10" fontId="1" fillId="0" borderId="14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abSelected="1" workbookViewId="0">
      <selection activeCell="B2" sqref="B2:F2"/>
    </sheetView>
  </sheetViews>
  <sheetFormatPr defaultRowHeight="15" x14ac:dyDescent="0.25"/>
  <cols>
    <col min="1" max="1" width="3.28515625" customWidth="1"/>
    <col min="2" max="2" width="40.42578125" bestFit="1" customWidth="1"/>
    <col min="3" max="3" width="26.7109375" bestFit="1" customWidth="1"/>
    <col min="4" max="4" width="11" style="1" bestFit="1" customWidth="1"/>
    <col min="5" max="5" width="59" style="5" bestFit="1" customWidth="1"/>
    <col min="6" max="6" width="15.28515625" style="1" bestFit="1" customWidth="1"/>
  </cols>
  <sheetData>
    <row r="2" spans="2:6" ht="15.75" thickBot="1" x14ac:dyDescent="0.3">
      <c r="B2" s="52" t="s">
        <v>72</v>
      </c>
      <c r="C2" s="52"/>
      <c r="D2" s="52"/>
      <c r="E2" s="52"/>
      <c r="F2" s="52"/>
    </row>
    <row r="3" spans="2:6" x14ac:dyDescent="0.25">
      <c r="B3" s="20" t="s">
        <v>11</v>
      </c>
      <c r="C3" s="16" t="s">
        <v>5</v>
      </c>
      <c r="D3" s="16" t="s">
        <v>4</v>
      </c>
      <c r="E3" s="16" t="s">
        <v>0</v>
      </c>
      <c r="F3" s="17" t="s">
        <v>1</v>
      </c>
    </row>
    <row r="4" spans="2:6" ht="15" customHeight="1" x14ac:dyDescent="0.25">
      <c r="B4" s="53" t="s">
        <v>71</v>
      </c>
      <c r="C4" s="6" t="s">
        <v>6</v>
      </c>
      <c r="D4" s="7">
        <v>35682</v>
      </c>
      <c r="E4" s="7" t="s">
        <v>59</v>
      </c>
      <c r="F4" s="49" t="s">
        <v>2</v>
      </c>
    </row>
    <row r="5" spans="2:6" x14ac:dyDescent="0.25">
      <c r="B5" s="53"/>
      <c r="C5" s="6" t="s">
        <v>7</v>
      </c>
      <c r="D5" s="7">
        <v>52092</v>
      </c>
      <c r="E5" s="7" t="s">
        <v>3</v>
      </c>
      <c r="F5" s="49" t="s">
        <v>2</v>
      </c>
    </row>
    <row r="6" spans="2:6" x14ac:dyDescent="0.25">
      <c r="B6" s="53"/>
      <c r="C6" s="6" t="s">
        <v>61</v>
      </c>
      <c r="D6" s="7">
        <v>75874</v>
      </c>
      <c r="E6" s="7" t="s">
        <v>62</v>
      </c>
      <c r="F6" s="49" t="s">
        <v>2</v>
      </c>
    </row>
    <row r="7" spans="2:6" ht="15.75" thickBot="1" x14ac:dyDescent="0.3">
      <c r="B7" s="19" t="s">
        <v>8</v>
      </c>
      <c r="C7" s="9" t="s">
        <v>9</v>
      </c>
      <c r="D7" s="10">
        <v>1120</v>
      </c>
      <c r="E7" s="10" t="s">
        <v>10</v>
      </c>
      <c r="F7" s="14">
        <v>2021</v>
      </c>
    </row>
    <row r="9" spans="2:6" ht="15.75" thickBot="1" x14ac:dyDescent="0.3">
      <c r="B9" s="54" t="s">
        <v>73</v>
      </c>
      <c r="C9" s="54"/>
      <c r="D9" s="54"/>
      <c r="E9" s="54"/>
    </row>
    <row r="10" spans="2:6" x14ac:dyDescent="0.25">
      <c r="B10" s="15"/>
      <c r="C10" s="16" t="s">
        <v>63</v>
      </c>
      <c r="D10" s="16" t="s">
        <v>64</v>
      </c>
      <c r="E10" s="17" t="s">
        <v>65</v>
      </c>
    </row>
    <row r="11" spans="2:6" x14ac:dyDescent="0.25">
      <c r="B11" s="18" t="s">
        <v>13</v>
      </c>
      <c r="C11" s="7">
        <f>+D4+D7</f>
        <v>36802</v>
      </c>
      <c r="D11" s="7">
        <f>+D5+D7</f>
        <v>53212</v>
      </c>
      <c r="E11" s="13">
        <f>+D6+D7</f>
        <v>76994</v>
      </c>
    </row>
    <row r="12" spans="2:6" x14ac:dyDescent="0.25">
      <c r="B12" s="18" t="s">
        <v>12</v>
      </c>
      <c r="C12" s="7">
        <v>6</v>
      </c>
      <c r="D12" s="7">
        <v>6</v>
      </c>
      <c r="E12" s="13">
        <v>6</v>
      </c>
      <c r="F12" s="5"/>
    </row>
    <row r="13" spans="2:6" x14ac:dyDescent="0.25">
      <c r="B13" s="18" t="s">
        <v>60</v>
      </c>
      <c r="C13" s="7">
        <f>+C12*C11</f>
        <v>220812</v>
      </c>
      <c r="D13" s="7">
        <f t="shared" ref="D13:E13" si="0">+D12*D11</f>
        <v>319272</v>
      </c>
      <c r="E13" s="13">
        <f t="shared" si="0"/>
        <v>461964</v>
      </c>
    </row>
    <row r="14" spans="2:6" x14ac:dyDescent="0.25">
      <c r="B14" s="18" t="s">
        <v>15</v>
      </c>
      <c r="C14" s="7">
        <v>20000</v>
      </c>
      <c r="D14" s="7">
        <v>20000</v>
      </c>
      <c r="E14" s="13">
        <v>20000</v>
      </c>
    </row>
    <row r="15" spans="2:6" ht="15.75" thickBot="1" x14ac:dyDescent="0.3">
      <c r="B15" s="19" t="s">
        <v>16</v>
      </c>
      <c r="C15" s="10">
        <f>+C14*C13</f>
        <v>4416240000</v>
      </c>
      <c r="D15" s="10">
        <f t="shared" ref="D15:E15" si="1">+D14*D13</f>
        <v>6385440000</v>
      </c>
      <c r="E15" s="14">
        <f t="shared" si="1"/>
        <v>9239280000</v>
      </c>
    </row>
    <row r="17" spans="2:5" x14ac:dyDescent="0.25">
      <c r="B17" t="s">
        <v>75</v>
      </c>
      <c r="C17" s="47">
        <f>+C15*0.1</f>
        <v>441624000</v>
      </c>
      <c r="D17" s="47">
        <f>+D15*0.6</f>
        <v>3831264000</v>
      </c>
      <c r="E17" s="47">
        <f>+E15*0.3</f>
        <v>2771784000</v>
      </c>
    </row>
    <row r="18" spans="2:5" x14ac:dyDescent="0.25">
      <c r="E18" s="45">
        <f>+E17+D17+C17</f>
        <v>7044672000</v>
      </c>
    </row>
    <row r="19" spans="2:5" ht="15.75" thickBot="1" x14ac:dyDescent="0.3">
      <c r="B19" s="54" t="s">
        <v>74</v>
      </c>
      <c r="C19" s="54"/>
      <c r="D19" s="54"/>
      <c r="E19" s="54"/>
    </row>
    <row r="20" spans="2:5" x14ac:dyDescent="0.25">
      <c r="B20" s="15"/>
      <c r="C20" s="16" t="s">
        <v>63</v>
      </c>
      <c r="D20" s="16" t="s">
        <v>64</v>
      </c>
      <c r="E20" s="17" t="s">
        <v>65</v>
      </c>
    </row>
    <row r="21" spans="2:5" x14ac:dyDescent="0.25">
      <c r="B21" s="18" t="s">
        <v>13</v>
      </c>
      <c r="C21" s="7">
        <f>+D4+D7</f>
        <v>36802</v>
      </c>
      <c r="D21" s="7">
        <f>+D5+D7</f>
        <v>53212</v>
      </c>
      <c r="E21" s="13">
        <f>+D6+D7</f>
        <v>76994</v>
      </c>
    </row>
    <row r="22" spans="2:5" x14ac:dyDescent="0.25">
      <c r="B22" s="18" t="s">
        <v>12</v>
      </c>
      <c r="C22" s="7">
        <v>6</v>
      </c>
      <c r="D22" s="7">
        <v>6</v>
      </c>
      <c r="E22" s="13">
        <v>6</v>
      </c>
    </row>
    <row r="23" spans="2:5" x14ac:dyDescent="0.25">
      <c r="B23" s="18" t="s">
        <v>60</v>
      </c>
      <c r="C23" s="7">
        <f>+C22*C21</f>
        <v>220812</v>
      </c>
      <c r="D23" s="7">
        <f t="shared" ref="D23:E23" si="2">+D22*D21</f>
        <v>319272</v>
      </c>
      <c r="E23" s="13">
        <f t="shared" si="2"/>
        <v>461964</v>
      </c>
    </row>
    <row r="24" spans="2:5" x14ac:dyDescent="0.25">
      <c r="B24" s="18" t="s">
        <v>15</v>
      </c>
      <c r="C24" s="7">
        <v>5000</v>
      </c>
      <c r="D24" s="7">
        <v>5000</v>
      </c>
      <c r="E24" s="13">
        <v>5000</v>
      </c>
    </row>
    <row r="25" spans="2:5" ht="15.75" thickBot="1" x14ac:dyDescent="0.3">
      <c r="B25" s="19" t="s">
        <v>16</v>
      </c>
      <c r="C25" s="48">
        <f>+C24*C23</f>
        <v>1104060000</v>
      </c>
      <c r="D25" s="48">
        <f t="shared" ref="D25:E25" si="3">+D24*D23</f>
        <v>1596360000</v>
      </c>
      <c r="E25" s="14">
        <f t="shared" si="3"/>
        <v>2309820000</v>
      </c>
    </row>
    <row r="27" spans="2:5" x14ac:dyDescent="0.25">
      <c r="B27" t="s">
        <v>75</v>
      </c>
      <c r="C27" s="47">
        <f>+C25*0.4</f>
        <v>441624000</v>
      </c>
      <c r="D27" s="47">
        <f>+D25*0.5</f>
        <v>798180000</v>
      </c>
      <c r="E27" s="47">
        <f>+E25*0.1</f>
        <v>230982000</v>
      </c>
    </row>
    <row r="28" spans="2:5" x14ac:dyDescent="0.25">
      <c r="D28" s="47"/>
      <c r="E28" s="45">
        <f>+E27+D27+C27</f>
        <v>1470786000</v>
      </c>
    </row>
    <row r="30" spans="2:5" x14ac:dyDescent="0.25">
      <c r="B30" s="51" t="s">
        <v>76</v>
      </c>
      <c r="E30" s="45">
        <f>+E18+E28</f>
        <v>8515458000</v>
      </c>
    </row>
  </sheetData>
  <mergeCells count="4">
    <mergeCell ref="B2:F2"/>
    <mergeCell ref="B4:B6"/>
    <mergeCell ref="B9:E9"/>
    <mergeCell ref="B19:E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N33" sqref="N33"/>
    </sheetView>
  </sheetViews>
  <sheetFormatPr defaultRowHeight="15" x14ac:dyDescent="0.25"/>
  <cols>
    <col min="1" max="1" width="3.28515625" customWidth="1"/>
    <col min="2" max="2" width="39.28515625" customWidth="1"/>
    <col min="3" max="3" width="41.28515625" customWidth="1"/>
    <col min="4" max="4" width="14.7109375" style="1" customWidth="1"/>
    <col min="5" max="5" width="6.28515625" style="1" customWidth="1"/>
    <col min="6" max="6" width="39.140625" customWidth="1"/>
    <col min="7" max="7" width="56.5703125" customWidth="1"/>
    <col min="8" max="8" width="27" customWidth="1"/>
    <col min="9" max="9" width="8.28515625" customWidth="1"/>
    <col min="10" max="10" width="39.140625" customWidth="1"/>
    <col min="11" max="11" width="56.5703125" customWidth="1"/>
    <col min="12" max="12" width="27" customWidth="1"/>
    <col min="13" max="13" width="7" customWidth="1"/>
    <col min="14" max="14" width="39.140625" customWidth="1"/>
    <col min="15" max="15" width="56.5703125" customWidth="1"/>
    <col min="16" max="16" width="27" customWidth="1"/>
    <col min="18" max="18" width="39.140625" customWidth="1"/>
    <col min="19" max="19" width="56.5703125" customWidth="1"/>
    <col min="20" max="20" width="27" customWidth="1"/>
  </cols>
  <sheetData>
    <row r="2" spans="2:20" ht="15.75" thickBot="1" x14ac:dyDescent="0.3">
      <c r="B2" s="52" t="s">
        <v>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2:20" x14ac:dyDescent="0.25">
      <c r="B3" s="55" t="s">
        <v>47</v>
      </c>
      <c r="C3" s="56"/>
      <c r="D3" s="57"/>
      <c r="F3" s="55" t="s">
        <v>48</v>
      </c>
      <c r="G3" s="56"/>
      <c r="H3" s="57"/>
      <c r="I3" s="1"/>
      <c r="J3" s="55" t="s">
        <v>81</v>
      </c>
      <c r="K3" s="56"/>
      <c r="L3" s="57"/>
      <c r="M3" s="1"/>
      <c r="N3" s="55" t="s">
        <v>80</v>
      </c>
      <c r="O3" s="56"/>
      <c r="P3" s="57"/>
      <c r="R3" s="55" t="s">
        <v>78</v>
      </c>
      <c r="S3" s="56"/>
      <c r="T3" s="57"/>
    </row>
    <row r="4" spans="2:20" x14ac:dyDescent="0.25">
      <c r="B4" s="26" t="s">
        <v>11</v>
      </c>
      <c r="C4" s="7" t="s">
        <v>5</v>
      </c>
      <c r="D4" s="13" t="s">
        <v>4</v>
      </c>
      <c r="F4" s="26" t="s">
        <v>11</v>
      </c>
      <c r="G4" s="7" t="s">
        <v>5</v>
      </c>
      <c r="H4" s="13" t="s">
        <v>4</v>
      </c>
      <c r="I4" s="1"/>
      <c r="J4" s="26" t="s">
        <v>11</v>
      </c>
      <c r="K4" s="7" t="s">
        <v>5</v>
      </c>
      <c r="L4" s="13" t="s">
        <v>4</v>
      </c>
      <c r="M4" s="1"/>
      <c r="N4" s="26" t="s">
        <v>11</v>
      </c>
      <c r="O4" s="7" t="s">
        <v>5</v>
      </c>
      <c r="P4" s="13" t="s">
        <v>4</v>
      </c>
      <c r="R4" s="26" t="s">
        <v>11</v>
      </c>
      <c r="S4" s="7" t="s">
        <v>5</v>
      </c>
      <c r="T4" s="13" t="s">
        <v>4</v>
      </c>
    </row>
    <row r="5" spans="2:20" x14ac:dyDescent="0.25">
      <c r="B5" s="58" t="s">
        <v>18</v>
      </c>
      <c r="C5" s="6" t="s">
        <v>32</v>
      </c>
      <c r="D5" s="23">
        <v>40185</v>
      </c>
      <c r="E5" s="2"/>
      <c r="F5" s="58" t="s">
        <v>18</v>
      </c>
      <c r="G5" s="6" t="s">
        <v>32</v>
      </c>
      <c r="H5" s="23">
        <v>32024</v>
      </c>
      <c r="I5" s="2"/>
      <c r="J5" s="58" t="s">
        <v>18</v>
      </c>
      <c r="K5" s="6" t="s">
        <v>32</v>
      </c>
      <c r="L5" s="23">
        <v>39599</v>
      </c>
      <c r="M5" s="2"/>
      <c r="N5" s="58" t="s">
        <v>18</v>
      </c>
      <c r="O5" s="6" t="s">
        <v>39</v>
      </c>
      <c r="P5" s="23">
        <v>28402</v>
      </c>
      <c r="R5" s="58" t="s">
        <v>18</v>
      </c>
      <c r="S5" s="6" t="s">
        <v>32</v>
      </c>
      <c r="T5" s="23">
        <v>28846</v>
      </c>
    </row>
    <row r="6" spans="2:20" x14ac:dyDescent="0.25">
      <c r="B6" s="58"/>
      <c r="C6" s="21" t="s">
        <v>21</v>
      </c>
      <c r="D6" s="23"/>
      <c r="E6" s="2"/>
      <c r="F6" s="58"/>
      <c r="G6" s="21" t="s">
        <v>21</v>
      </c>
      <c r="H6" s="23"/>
      <c r="I6" s="2"/>
      <c r="J6" s="58"/>
      <c r="K6" s="21" t="s">
        <v>34</v>
      </c>
      <c r="L6" s="23">
        <f>0.2*L5</f>
        <v>7919.8</v>
      </c>
      <c r="M6" s="2"/>
      <c r="N6" s="58"/>
      <c r="O6" s="21" t="s">
        <v>40</v>
      </c>
      <c r="P6" s="23">
        <f>0.02*P5</f>
        <v>568.04</v>
      </c>
      <c r="R6" s="58"/>
      <c r="S6" s="21" t="s">
        <v>34</v>
      </c>
      <c r="T6" s="23">
        <f>0.2*T5</f>
        <v>5769.2000000000007</v>
      </c>
    </row>
    <row r="7" spans="2:20" x14ac:dyDescent="0.25">
      <c r="B7" s="58"/>
      <c r="C7" s="27" t="s">
        <v>22</v>
      </c>
      <c r="D7" s="23">
        <f>0.14*D5</f>
        <v>5625.9000000000005</v>
      </c>
      <c r="E7" s="2"/>
      <c r="F7" s="58"/>
      <c r="G7" s="27" t="s">
        <v>22</v>
      </c>
      <c r="H7" s="23">
        <f>0.14*H28</f>
        <v>3976.28</v>
      </c>
      <c r="I7" s="2"/>
      <c r="J7" s="58"/>
      <c r="K7" s="21" t="s">
        <v>36</v>
      </c>
      <c r="L7" s="23">
        <f>+L5-L6</f>
        <v>31679.200000000001</v>
      </c>
      <c r="M7" s="2"/>
      <c r="N7" s="58"/>
      <c r="O7" s="6" t="s">
        <v>38</v>
      </c>
      <c r="P7" s="23">
        <f>0.04*P5</f>
        <v>1136.08</v>
      </c>
      <c r="R7" s="58"/>
      <c r="S7" s="21" t="s">
        <v>36</v>
      </c>
      <c r="T7" s="23">
        <v>28402</v>
      </c>
    </row>
    <row r="8" spans="2:20" x14ac:dyDescent="0.25">
      <c r="B8" s="58"/>
      <c r="C8" s="27" t="s">
        <v>23</v>
      </c>
      <c r="D8" s="23">
        <f>0.0515*D5</f>
        <v>2069.5274999999997</v>
      </c>
      <c r="E8" s="2"/>
      <c r="F8" s="58"/>
      <c r="G8" s="27" t="s">
        <v>23</v>
      </c>
      <c r="H8" s="23">
        <f>0.0515*H28</f>
        <v>1462.703</v>
      </c>
      <c r="I8" s="2"/>
      <c r="J8" s="58"/>
      <c r="K8" s="21" t="s">
        <v>35</v>
      </c>
      <c r="L8" s="23">
        <f>0.103*L7</f>
        <v>3262.9575999999997</v>
      </c>
      <c r="M8" s="2"/>
      <c r="N8" s="58"/>
      <c r="O8" s="6"/>
      <c r="P8" s="28"/>
      <c r="R8" s="58"/>
      <c r="S8" s="21" t="s">
        <v>77</v>
      </c>
      <c r="T8" s="23">
        <f>0.02*T7</f>
        <v>568.04</v>
      </c>
    </row>
    <row r="9" spans="2:20" x14ac:dyDescent="0.25">
      <c r="B9" s="58"/>
      <c r="C9" s="27" t="s">
        <v>24</v>
      </c>
      <c r="D9" s="23">
        <f>0.0075*D5</f>
        <v>301.38749999999999</v>
      </c>
      <c r="E9" s="2"/>
      <c r="F9" s="58"/>
      <c r="G9" s="27" t="s">
        <v>24</v>
      </c>
      <c r="H9" s="23">
        <f>0.0075*H28</f>
        <v>213.01499999999999</v>
      </c>
      <c r="I9" s="2"/>
      <c r="J9" s="58"/>
      <c r="K9" s="21" t="s">
        <v>37</v>
      </c>
      <c r="L9" s="23">
        <f>0.2*L7</f>
        <v>6335.84</v>
      </c>
      <c r="M9" s="2"/>
      <c r="N9" s="58"/>
      <c r="O9" s="6"/>
      <c r="P9" s="28"/>
      <c r="R9" s="58"/>
      <c r="S9" s="6" t="s">
        <v>38</v>
      </c>
      <c r="T9" s="23">
        <f>0.04*T7</f>
        <v>1136.08</v>
      </c>
    </row>
    <row r="10" spans="2:20" x14ac:dyDescent="0.25">
      <c r="B10" s="58"/>
      <c r="C10" s="21" t="s">
        <v>26</v>
      </c>
      <c r="D10" s="23">
        <v>18300</v>
      </c>
      <c r="E10" s="2"/>
      <c r="F10" s="58"/>
      <c r="G10" s="21" t="s">
        <v>26</v>
      </c>
      <c r="H10" s="23">
        <v>18300</v>
      </c>
      <c r="I10" s="2"/>
      <c r="J10" s="58"/>
      <c r="K10" s="21" t="s">
        <v>19</v>
      </c>
      <c r="L10" s="32">
        <f>+L5-L8-L9</f>
        <v>30000.202399999998</v>
      </c>
      <c r="M10" s="2"/>
      <c r="N10" s="58"/>
      <c r="O10" s="21"/>
      <c r="P10" s="23"/>
      <c r="R10" s="58"/>
      <c r="S10" s="21" t="s">
        <v>37</v>
      </c>
      <c r="T10" s="23">
        <f>0.2*T7</f>
        <v>5680.4000000000005</v>
      </c>
    </row>
    <row r="11" spans="2:20" x14ac:dyDescent="0.25">
      <c r="B11" s="58"/>
      <c r="C11" s="21" t="s">
        <v>27</v>
      </c>
      <c r="D11" s="23">
        <f>+D5-D10</f>
        <v>21885</v>
      </c>
      <c r="E11" s="2"/>
      <c r="F11" s="58"/>
      <c r="G11" s="21" t="s">
        <v>27</v>
      </c>
      <c r="H11" s="23">
        <f>+H5-H10</f>
        <v>13724</v>
      </c>
      <c r="I11" s="2"/>
      <c r="J11" s="58"/>
      <c r="K11" s="6" t="s">
        <v>38</v>
      </c>
      <c r="L11" s="23">
        <f>0.04*L5</f>
        <v>1583.96</v>
      </c>
      <c r="M11" s="2"/>
      <c r="N11" s="58"/>
      <c r="O11" s="6"/>
      <c r="P11" s="23"/>
      <c r="R11" s="58"/>
      <c r="S11" s="21" t="s">
        <v>19</v>
      </c>
      <c r="T11" s="32">
        <f>+T5-T10</f>
        <v>23165.599999999999</v>
      </c>
    </row>
    <row r="12" spans="2:20" x14ac:dyDescent="0.25">
      <c r="B12" s="58"/>
      <c r="C12" s="21" t="s">
        <v>28</v>
      </c>
      <c r="D12" s="23">
        <f>0.1*D11</f>
        <v>2188.5</v>
      </c>
      <c r="E12" s="2"/>
      <c r="F12" s="58"/>
      <c r="G12" s="21" t="s">
        <v>28</v>
      </c>
      <c r="H12" s="23">
        <f>0.1*H11</f>
        <v>1372.4</v>
      </c>
      <c r="I12" s="2"/>
      <c r="J12" s="58"/>
      <c r="K12" s="6"/>
      <c r="L12" s="28"/>
      <c r="N12" s="58"/>
      <c r="O12" s="6"/>
      <c r="P12" s="28"/>
      <c r="R12" s="58"/>
      <c r="S12" s="21"/>
      <c r="T12" s="32"/>
    </row>
    <row r="13" spans="2:20" x14ac:dyDescent="0.25">
      <c r="B13" s="58"/>
      <c r="C13" s="21" t="s">
        <v>19</v>
      </c>
      <c r="D13" s="32">
        <f>+D5-D7-D8-D9-D12</f>
        <v>29999.684999999998</v>
      </c>
      <c r="E13" s="2"/>
      <c r="F13" s="58"/>
      <c r="G13" s="21" t="s">
        <v>19</v>
      </c>
      <c r="H13" s="32">
        <f>+H5-H7-H8-H9-H12</f>
        <v>24999.601999999999</v>
      </c>
      <c r="I13" s="2"/>
      <c r="J13" s="58"/>
      <c r="K13" s="6"/>
      <c r="L13" s="23"/>
      <c r="M13" s="2"/>
      <c r="N13" s="58"/>
      <c r="O13" s="6"/>
      <c r="P13" s="23"/>
      <c r="R13" s="58"/>
      <c r="S13" s="6"/>
      <c r="T13" s="23"/>
    </row>
    <row r="14" spans="2:20" x14ac:dyDescent="0.25">
      <c r="B14" s="58"/>
      <c r="C14" s="6" t="s">
        <v>20</v>
      </c>
      <c r="D14" s="23"/>
      <c r="E14" s="2"/>
      <c r="F14" s="58"/>
      <c r="G14" s="6" t="s">
        <v>20</v>
      </c>
      <c r="H14" s="23"/>
      <c r="I14" s="2"/>
      <c r="J14" s="58"/>
      <c r="K14" s="6"/>
      <c r="L14" s="23"/>
      <c r="M14" s="2"/>
      <c r="N14" s="58"/>
      <c r="O14" s="6"/>
      <c r="P14" s="23"/>
      <c r="R14" s="58"/>
      <c r="S14" s="6"/>
      <c r="T14" s="23"/>
    </row>
    <row r="15" spans="2:20" x14ac:dyDescent="0.25">
      <c r="B15" s="58"/>
      <c r="C15" s="27" t="s">
        <v>25</v>
      </c>
      <c r="D15" s="23">
        <f>0.115*D5</f>
        <v>4621.2750000000005</v>
      </c>
      <c r="E15" s="2"/>
      <c r="F15" s="58"/>
      <c r="G15" s="27" t="s">
        <v>25</v>
      </c>
      <c r="H15" s="23">
        <f>0.115*H28</f>
        <v>3266.23</v>
      </c>
      <c r="I15" s="2"/>
      <c r="J15" s="58"/>
      <c r="K15" s="27"/>
      <c r="L15" s="23"/>
      <c r="M15" s="2"/>
      <c r="N15" s="58"/>
      <c r="O15" s="27"/>
      <c r="P15" s="23"/>
      <c r="R15" s="58"/>
      <c r="S15" s="27"/>
      <c r="T15" s="23"/>
    </row>
    <row r="16" spans="2:20" x14ac:dyDescent="0.25">
      <c r="B16" s="58"/>
      <c r="C16" s="27" t="s">
        <v>23</v>
      </c>
      <c r="D16" s="23">
        <f>0.0515*D5</f>
        <v>2069.5274999999997</v>
      </c>
      <c r="E16" s="2"/>
      <c r="F16" s="58"/>
      <c r="G16" s="27" t="s">
        <v>23</v>
      </c>
      <c r="H16" s="23">
        <f>0.0515*H28</f>
        <v>1462.703</v>
      </c>
      <c r="I16" s="2"/>
      <c r="J16" s="58"/>
      <c r="K16" s="27"/>
      <c r="L16" s="23"/>
      <c r="M16" s="2"/>
      <c r="N16" s="58"/>
      <c r="O16" s="27"/>
      <c r="P16" s="23"/>
      <c r="R16" s="58"/>
      <c r="S16" s="27"/>
      <c r="T16" s="23"/>
    </row>
    <row r="17" spans="2:20" x14ac:dyDescent="0.25">
      <c r="B17" s="58"/>
      <c r="C17" s="6" t="s">
        <v>30</v>
      </c>
      <c r="D17" s="23">
        <v>4040</v>
      </c>
      <c r="E17" s="2"/>
      <c r="F17" s="58"/>
      <c r="G17" s="6" t="s">
        <v>30</v>
      </c>
      <c r="H17" s="23">
        <v>4040</v>
      </c>
      <c r="I17" s="2"/>
      <c r="J17" s="58"/>
      <c r="K17" s="6"/>
      <c r="L17" s="23"/>
      <c r="M17" s="2"/>
      <c r="N17" s="58"/>
      <c r="O17" s="6"/>
      <c r="P17" s="23"/>
      <c r="R17" s="58"/>
      <c r="S17" s="6"/>
      <c r="T17" s="23"/>
    </row>
    <row r="18" spans="2:20" x14ac:dyDescent="0.25">
      <c r="B18" s="58"/>
      <c r="C18" s="6" t="s">
        <v>31</v>
      </c>
      <c r="D18" s="23">
        <v>100</v>
      </c>
      <c r="E18" s="2"/>
      <c r="F18" s="58"/>
      <c r="G18" s="6" t="s">
        <v>31</v>
      </c>
      <c r="H18" s="23">
        <v>100</v>
      </c>
      <c r="I18" s="2"/>
      <c r="J18" s="58"/>
      <c r="K18" s="6"/>
      <c r="L18" s="23"/>
      <c r="M18" s="2"/>
      <c r="N18" s="58"/>
      <c r="O18" s="6"/>
      <c r="P18" s="23"/>
      <c r="R18" s="58"/>
      <c r="S18" s="6"/>
      <c r="T18" s="23"/>
    </row>
    <row r="19" spans="2:20" x14ac:dyDescent="0.25">
      <c r="B19" s="58"/>
      <c r="C19" s="21" t="s">
        <v>29</v>
      </c>
      <c r="D19" s="23">
        <f>+D7+D8+D9+D12+D13+D15+D16+D17+D18</f>
        <v>51015.802499999998</v>
      </c>
      <c r="E19" s="2"/>
      <c r="F19" s="58"/>
      <c r="G19" s="21" t="s">
        <v>29</v>
      </c>
      <c r="H19" s="23">
        <f>+H7+H8+H9+H12+H13+H15+H16+H17+H18</f>
        <v>40892.933000000005</v>
      </c>
      <c r="I19" s="2"/>
      <c r="J19" s="58"/>
      <c r="K19" s="21" t="s">
        <v>29</v>
      </c>
      <c r="L19" s="23">
        <f>+L8+L9+L10+L11</f>
        <v>41182.959999999999</v>
      </c>
      <c r="M19" s="2"/>
      <c r="N19" s="58"/>
      <c r="O19" s="21" t="s">
        <v>29</v>
      </c>
      <c r="P19" s="23">
        <f>+P7+P6</f>
        <v>1704.12</v>
      </c>
      <c r="R19" s="58"/>
      <c r="S19" s="21" t="s">
        <v>29</v>
      </c>
      <c r="T19" s="23">
        <f>+T8+T10+T11+T9</f>
        <v>30550.120000000003</v>
      </c>
    </row>
    <row r="20" spans="2:20" x14ac:dyDescent="0.25">
      <c r="B20" s="12" t="s">
        <v>79</v>
      </c>
      <c r="C20" s="6" t="s">
        <v>33</v>
      </c>
      <c r="D20" s="13">
        <v>15000</v>
      </c>
      <c r="F20" s="12" t="s">
        <v>79</v>
      </c>
      <c r="G20" s="6" t="s">
        <v>33</v>
      </c>
      <c r="H20" s="13">
        <v>15000</v>
      </c>
      <c r="I20" s="1"/>
      <c r="J20" s="12" t="s">
        <v>79</v>
      </c>
      <c r="K20" s="6" t="s">
        <v>33</v>
      </c>
      <c r="L20" s="13">
        <v>15000</v>
      </c>
      <c r="M20" s="1"/>
      <c r="N20" s="12" t="s">
        <v>79</v>
      </c>
      <c r="O20" s="6" t="s">
        <v>33</v>
      </c>
      <c r="P20" s="13">
        <v>15000</v>
      </c>
      <c r="R20" s="12" t="s">
        <v>79</v>
      </c>
      <c r="S20" s="6" t="s">
        <v>33</v>
      </c>
      <c r="T20" s="13">
        <v>15000</v>
      </c>
    </row>
    <row r="21" spans="2:20" ht="15.75" thickBot="1" x14ac:dyDescent="0.3">
      <c r="B21" s="59" t="s">
        <v>13</v>
      </c>
      <c r="C21" s="60"/>
      <c r="D21" s="31">
        <f>+D19+(D20/D23)</f>
        <v>53515.802499999998</v>
      </c>
      <c r="E21" s="2"/>
      <c r="F21" s="59" t="s">
        <v>13</v>
      </c>
      <c r="G21" s="60"/>
      <c r="H21" s="31">
        <f>+H19+(H20/H23)</f>
        <v>43392.933000000005</v>
      </c>
      <c r="I21" s="2"/>
      <c r="J21" s="59" t="s">
        <v>13</v>
      </c>
      <c r="K21" s="60"/>
      <c r="L21" s="31">
        <f>+L19+(L20/L23)</f>
        <v>43682.96</v>
      </c>
      <c r="M21" s="2"/>
      <c r="N21" s="59" t="s">
        <v>13</v>
      </c>
      <c r="O21" s="60"/>
      <c r="P21" s="31">
        <f>+P19+(P20/P23)</f>
        <v>4204.12</v>
      </c>
      <c r="R21" s="59" t="s">
        <v>13</v>
      </c>
      <c r="S21" s="60"/>
      <c r="T21" s="31">
        <f>+T19+(T20/T23)</f>
        <v>33050.120000000003</v>
      </c>
    </row>
    <row r="22" spans="2:20" ht="15.75" thickBot="1" x14ac:dyDescent="0.3"/>
    <row r="23" spans="2:20" x14ac:dyDescent="0.25">
      <c r="B23" s="11" t="s">
        <v>12</v>
      </c>
      <c r="C23" s="29"/>
      <c r="D23" s="30">
        <v>6</v>
      </c>
      <c r="E23" s="2"/>
      <c r="F23" s="11" t="s">
        <v>12</v>
      </c>
      <c r="G23" s="29"/>
      <c r="H23" s="30">
        <v>6</v>
      </c>
      <c r="I23" s="2"/>
      <c r="J23" s="11" t="s">
        <v>12</v>
      </c>
      <c r="K23" s="29"/>
      <c r="L23" s="30">
        <v>6</v>
      </c>
      <c r="M23" s="2"/>
      <c r="N23" s="11" t="s">
        <v>12</v>
      </c>
      <c r="O23" s="29"/>
      <c r="P23" s="30">
        <v>6</v>
      </c>
      <c r="R23" s="11" t="s">
        <v>12</v>
      </c>
      <c r="S23" s="29"/>
      <c r="T23" s="30">
        <v>6</v>
      </c>
    </row>
    <row r="24" spans="2:20" x14ac:dyDescent="0.25">
      <c r="B24" s="12" t="s">
        <v>14</v>
      </c>
      <c r="C24" s="6"/>
      <c r="D24" s="23">
        <f>+D23*D21</f>
        <v>321094.815</v>
      </c>
      <c r="E24" s="2"/>
      <c r="F24" s="12" t="s">
        <v>14</v>
      </c>
      <c r="G24" s="6"/>
      <c r="H24" s="23">
        <f>+H21*H23</f>
        <v>260357.59800000003</v>
      </c>
      <c r="I24" s="2"/>
      <c r="J24" s="12" t="s">
        <v>14</v>
      </c>
      <c r="K24" s="6"/>
      <c r="L24" s="23">
        <f>+L21*L23</f>
        <v>262097.76</v>
      </c>
      <c r="M24" s="2"/>
      <c r="N24" s="12" t="s">
        <v>14</v>
      </c>
      <c r="O24" s="6"/>
      <c r="P24" s="23">
        <f>+P21*P23</f>
        <v>25224.720000000001</v>
      </c>
      <c r="R24" s="12" t="s">
        <v>14</v>
      </c>
      <c r="S24" s="6"/>
      <c r="T24" s="23">
        <f>+T21*T23</f>
        <v>198300.72000000003</v>
      </c>
    </row>
    <row r="25" spans="2:20" x14ac:dyDescent="0.25">
      <c r="B25" s="12" t="s">
        <v>15</v>
      </c>
      <c r="C25" s="6"/>
      <c r="D25" s="23">
        <v>25000</v>
      </c>
      <c r="E25" s="2"/>
      <c r="F25" s="12" t="s">
        <v>15</v>
      </c>
      <c r="G25" s="6"/>
      <c r="H25" s="23">
        <v>25000</v>
      </c>
      <c r="I25" s="2"/>
      <c r="J25" s="12" t="s">
        <v>15</v>
      </c>
      <c r="K25" s="6"/>
      <c r="L25" s="23">
        <v>25000</v>
      </c>
      <c r="M25" s="2"/>
      <c r="N25" s="12" t="s">
        <v>15</v>
      </c>
      <c r="O25" s="6"/>
      <c r="P25" s="23">
        <v>25000</v>
      </c>
      <c r="R25" s="12" t="s">
        <v>15</v>
      </c>
      <c r="S25" s="6"/>
      <c r="T25" s="23">
        <v>25000</v>
      </c>
    </row>
    <row r="26" spans="2:20" ht="15.75" thickBot="1" x14ac:dyDescent="0.3">
      <c r="B26" s="8" t="s">
        <v>16</v>
      </c>
      <c r="C26" s="9"/>
      <c r="D26" s="31">
        <f>+D25*D24</f>
        <v>8027370375</v>
      </c>
      <c r="E26" s="2"/>
      <c r="F26" s="8" t="s">
        <v>16</v>
      </c>
      <c r="G26" s="9"/>
      <c r="H26" s="31">
        <f>+H25*H24</f>
        <v>6508939950.000001</v>
      </c>
      <c r="I26" s="2"/>
      <c r="J26" s="8" t="s">
        <v>16</v>
      </c>
      <c r="K26" s="9"/>
      <c r="L26" s="31">
        <f>+L25*L24</f>
        <v>6552444000</v>
      </c>
      <c r="M26" s="2"/>
      <c r="N26" s="8" t="s">
        <v>16</v>
      </c>
      <c r="O26" s="9"/>
      <c r="P26" s="31">
        <f>+P25*P24</f>
        <v>630618000</v>
      </c>
      <c r="R26" s="8" t="s">
        <v>16</v>
      </c>
      <c r="S26" s="9"/>
      <c r="T26" s="31">
        <f>+T25*T24</f>
        <v>4957518000.000001</v>
      </c>
    </row>
    <row r="27" spans="2:20" x14ac:dyDescent="0.25">
      <c r="H27" s="2"/>
      <c r="I27" s="2"/>
      <c r="L27" s="2"/>
      <c r="M27" s="2"/>
      <c r="P27" s="2"/>
      <c r="T27" s="2"/>
    </row>
    <row r="28" spans="2:20" x14ac:dyDescent="0.25">
      <c r="G28" t="s">
        <v>39</v>
      </c>
      <c r="H28" s="1">
        <v>28402</v>
      </c>
      <c r="I28" s="1"/>
      <c r="L28" s="1"/>
      <c r="M28" s="1"/>
      <c r="P28" s="1"/>
      <c r="T28" s="50"/>
    </row>
    <row r="30" spans="2:20" x14ac:dyDescent="0.25">
      <c r="C30" s="4">
        <v>2021</v>
      </c>
      <c r="D30" s="4">
        <v>2022</v>
      </c>
    </row>
    <row r="31" spans="2:20" x14ac:dyDescent="0.25">
      <c r="B31" t="s">
        <v>58</v>
      </c>
      <c r="C31" s="4">
        <v>32003</v>
      </c>
      <c r="D31" s="4">
        <v>34878</v>
      </c>
    </row>
    <row r="34" spans="7:8" x14ac:dyDescent="0.25">
      <c r="G34" s="3"/>
      <c r="H34" s="3"/>
    </row>
  </sheetData>
  <mergeCells count="16">
    <mergeCell ref="R3:T3"/>
    <mergeCell ref="R5:R19"/>
    <mergeCell ref="R21:S21"/>
    <mergeCell ref="B2:T2"/>
    <mergeCell ref="N21:O21"/>
    <mergeCell ref="B21:C21"/>
    <mergeCell ref="F21:G21"/>
    <mergeCell ref="J3:L3"/>
    <mergeCell ref="B3:D3"/>
    <mergeCell ref="J21:K21"/>
    <mergeCell ref="B5:B19"/>
    <mergeCell ref="F3:H3"/>
    <mergeCell ref="F5:F19"/>
    <mergeCell ref="J5:J19"/>
    <mergeCell ref="N3:P3"/>
    <mergeCell ref="N5:N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activeCell="B2" sqref="B2:G2"/>
    </sheetView>
  </sheetViews>
  <sheetFormatPr defaultRowHeight="15" x14ac:dyDescent="0.25"/>
  <cols>
    <col min="2" max="2" width="11.28515625" customWidth="1"/>
    <col min="3" max="3" width="41" bestFit="1" customWidth="1"/>
    <col min="4" max="7" width="11.7109375" style="1" customWidth="1"/>
    <col min="8" max="11" width="11" bestFit="1" customWidth="1"/>
    <col min="12" max="12" width="10" bestFit="1" customWidth="1"/>
  </cols>
  <sheetData>
    <row r="2" spans="2:12" ht="15.75" thickBot="1" x14ac:dyDescent="0.3">
      <c r="B2" s="52" t="s">
        <v>57</v>
      </c>
      <c r="C2" s="52"/>
      <c r="D2" s="52"/>
      <c r="E2" s="52"/>
      <c r="F2" s="52"/>
      <c r="G2" s="52"/>
    </row>
    <row r="3" spans="2:12" x14ac:dyDescent="0.25">
      <c r="B3" s="20" t="s">
        <v>50</v>
      </c>
      <c r="C3" s="16" t="s">
        <v>51</v>
      </c>
      <c r="D3" s="16" t="s">
        <v>43</v>
      </c>
      <c r="E3" s="16" t="s">
        <v>45</v>
      </c>
      <c r="F3" s="16" t="s">
        <v>44</v>
      </c>
      <c r="G3" s="17" t="s">
        <v>46</v>
      </c>
    </row>
    <row r="4" spans="2:12" x14ac:dyDescent="0.25">
      <c r="B4" s="61" t="s">
        <v>70</v>
      </c>
      <c r="C4" s="24" t="s">
        <v>52</v>
      </c>
      <c r="D4" s="22">
        <f>+Preduzeće!D13</f>
        <v>29999.684999999998</v>
      </c>
      <c r="E4" s="22">
        <f>+Preduzeće!H13</f>
        <v>24999.601999999999</v>
      </c>
      <c r="F4" s="22">
        <f>+Preduzeće!L10</f>
        <v>30000.202399999998</v>
      </c>
      <c r="G4" s="13" t="s">
        <v>56</v>
      </c>
    </row>
    <row r="5" spans="2:12" ht="15" customHeight="1" x14ac:dyDescent="0.25">
      <c r="B5" s="61"/>
      <c r="C5" s="25" t="s">
        <v>55</v>
      </c>
      <c r="D5" s="22">
        <f>+Preduzeće!D12</f>
        <v>2188.5</v>
      </c>
      <c r="E5" s="22">
        <f>+Preduzeće!H12</f>
        <v>1372.4</v>
      </c>
      <c r="F5" s="22">
        <f>+Preduzeće!L9</f>
        <v>6335.84</v>
      </c>
      <c r="G5" s="13" t="s">
        <v>56</v>
      </c>
    </row>
    <row r="6" spans="2:12" x14ac:dyDescent="0.25">
      <c r="B6" s="61"/>
      <c r="C6" s="25" t="s">
        <v>42</v>
      </c>
      <c r="D6" s="22">
        <f>+Preduzeće!D7+Preduzeće!D8+Preduzeće!D9</f>
        <v>7996.8149999999996</v>
      </c>
      <c r="E6" s="22">
        <f>+Preduzeće!H7+Preduzeće!H8+Preduzeće!H9</f>
        <v>5651.9980000000005</v>
      </c>
      <c r="F6" s="22">
        <f>+Preduzeće!L8</f>
        <v>3262.9575999999997</v>
      </c>
      <c r="G6" s="13" t="s">
        <v>56</v>
      </c>
    </row>
    <row r="7" spans="2:12" x14ac:dyDescent="0.25">
      <c r="B7" s="61"/>
      <c r="C7" s="25" t="s">
        <v>49</v>
      </c>
      <c r="D7" s="22">
        <f>+Preduzeće!D15+Preduzeće!D16</f>
        <v>6690.8024999999998</v>
      </c>
      <c r="E7" s="22">
        <f>+Preduzeće!H15+Preduzeće!H16</f>
        <v>4728.933</v>
      </c>
      <c r="F7" s="22">
        <f>+Preduzeće!L11</f>
        <v>1583.96</v>
      </c>
      <c r="G7" s="23">
        <f>+Preduzeće!P6+Preduzeće!P7</f>
        <v>1704.12</v>
      </c>
    </row>
    <row r="8" spans="2:12" x14ac:dyDescent="0.25">
      <c r="B8" s="61"/>
      <c r="C8" s="25" t="s">
        <v>54</v>
      </c>
      <c r="D8" s="22">
        <f>+Preduzeće!D17+Preduzeće!D18</f>
        <v>4140</v>
      </c>
      <c r="E8" s="22">
        <f>+Preduzeće!H17+Preduzeće!H18</f>
        <v>4140</v>
      </c>
      <c r="F8" s="7" t="s">
        <v>56</v>
      </c>
      <c r="G8" s="13" t="s">
        <v>56</v>
      </c>
    </row>
    <row r="9" spans="2:12" x14ac:dyDescent="0.25">
      <c r="B9" s="61"/>
      <c r="C9" s="25" t="s">
        <v>53</v>
      </c>
      <c r="D9" s="7">
        <f>+Preduzeće!D20/Preduzeće!D23</f>
        <v>2500</v>
      </c>
      <c r="E9" s="7">
        <f>+Preduzeće!H20/6</f>
        <v>2500</v>
      </c>
      <c r="F9" s="7">
        <f>+Preduzeće!L20/Preduzeće!L23</f>
        <v>2500</v>
      </c>
      <c r="G9" s="13">
        <f>+Preduzeće!P20/Preduzeće!P23</f>
        <v>2500</v>
      </c>
    </row>
    <row r="10" spans="2:12" ht="15" customHeight="1" x14ac:dyDescent="0.25">
      <c r="B10" s="61" t="s">
        <v>68</v>
      </c>
      <c r="C10" s="24" t="s">
        <v>52</v>
      </c>
      <c r="D10" s="22">
        <f>+D4*Preduzeće!D23*Preduzeće!D25</f>
        <v>4499952750</v>
      </c>
      <c r="E10" s="7">
        <f>+E4*Preduzeće!H23*Preduzeće!H25</f>
        <v>3749940300</v>
      </c>
      <c r="F10" s="7">
        <f>+F4*Preduzeće!L23*Preduzeće!L25</f>
        <v>4500030360</v>
      </c>
      <c r="G10" s="13"/>
    </row>
    <row r="11" spans="2:12" ht="15" customHeight="1" x14ac:dyDescent="0.25">
      <c r="B11" s="61"/>
      <c r="C11" s="25" t="s">
        <v>41</v>
      </c>
      <c r="D11" s="7">
        <f>+D5*Preduzeće!D23*Preduzeće!D25</f>
        <v>328275000</v>
      </c>
      <c r="E11" s="7">
        <f>+E5*Preduzeće!H23*Preduzeće!H25</f>
        <v>205860000.00000003</v>
      </c>
      <c r="F11" s="7">
        <f>+F5*Preduzeće!L23*Preduzeće!L25</f>
        <v>950376000</v>
      </c>
      <c r="G11" s="13"/>
      <c r="I11">
        <f>+D11+D12+D13</f>
        <v>2531417625</v>
      </c>
      <c r="J11">
        <f t="shared" ref="J11:L11" si="0">+E11+E12+E13</f>
        <v>1762999650</v>
      </c>
      <c r="K11">
        <f t="shared" si="0"/>
        <v>1677413640</v>
      </c>
      <c r="L11">
        <f t="shared" si="0"/>
        <v>255617999.99999997</v>
      </c>
    </row>
    <row r="12" spans="2:12" x14ac:dyDescent="0.25">
      <c r="B12" s="61"/>
      <c r="C12" s="25" t="s">
        <v>42</v>
      </c>
      <c r="D12" s="7">
        <f>+D6*Preduzeće!D23*Preduzeće!D25</f>
        <v>1199522250</v>
      </c>
      <c r="E12" s="7">
        <f>+E6*Preduzeće!H23*Preduzeće!H25</f>
        <v>847799700.00000012</v>
      </c>
      <c r="F12" s="7">
        <f>+F6*Preduzeće!L23*Preduzeće!L25</f>
        <v>489443639.99999994</v>
      </c>
      <c r="G12" s="13"/>
    </row>
    <row r="13" spans="2:12" x14ac:dyDescent="0.25">
      <c r="B13" s="61"/>
      <c r="C13" s="25" t="s">
        <v>49</v>
      </c>
      <c r="D13" s="7">
        <f>+D7*Preduzeće!D23*Preduzeće!D25</f>
        <v>1003620375</v>
      </c>
      <c r="E13" s="7">
        <f>+E7*Preduzeće!H23*Preduzeće!H25</f>
        <v>709339950</v>
      </c>
      <c r="F13" s="7">
        <f>+F7*Preduzeće!L23*Preduzeće!L25</f>
        <v>237594000</v>
      </c>
      <c r="G13" s="13">
        <f>+G7*Preduzeće!P23*Preduzeće!P25</f>
        <v>255617999.99999997</v>
      </c>
    </row>
    <row r="14" spans="2:12" x14ac:dyDescent="0.25">
      <c r="B14" s="61"/>
      <c r="C14" s="25" t="s">
        <v>54</v>
      </c>
      <c r="D14" s="7">
        <f>+D8*Preduzeće!D23*Preduzeće!D25</f>
        <v>621000000</v>
      </c>
      <c r="E14" s="7">
        <f>+E8*Preduzeće!H23*Preduzeće!H25</f>
        <v>621000000</v>
      </c>
      <c r="F14" s="7"/>
      <c r="G14" s="13"/>
    </row>
    <row r="15" spans="2:12" x14ac:dyDescent="0.25">
      <c r="B15" s="62"/>
      <c r="C15" s="25" t="s">
        <v>53</v>
      </c>
      <c r="D15" s="7">
        <f>+D9*Preduzeće!D23*Preduzeće!D25</f>
        <v>375000000</v>
      </c>
      <c r="E15" s="7">
        <f>+E9*Preduzeće!H23*Preduzeće!H25</f>
        <v>375000000</v>
      </c>
      <c r="F15" s="7">
        <f>+Država!F9*Preduzeće!L23*Preduzeće!L25</f>
        <v>375000000</v>
      </c>
      <c r="G15" s="13">
        <f>+G9*Preduzeće!P23*Preduzeće!P25</f>
        <v>375000000</v>
      </c>
    </row>
    <row r="16" spans="2:12" ht="15.75" thickBot="1" x14ac:dyDescent="0.3">
      <c r="B16" s="63"/>
      <c r="C16" s="35" t="s">
        <v>67</v>
      </c>
      <c r="D16" s="36">
        <f>SUM(D10:D15)</f>
        <v>8027370375</v>
      </c>
      <c r="E16" s="36">
        <f t="shared" ref="E16:G16" si="1">SUM(E10:E15)</f>
        <v>6508939950</v>
      </c>
      <c r="F16" s="36">
        <f t="shared" si="1"/>
        <v>6552444000</v>
      </c>
      <c r="G16" s="37">
        <f t="shared" si="1"/>
        <v>630618000</v>
      </c>
    </row>
    <row r="17" spans="2:11" x14ac:dyDescent="0.25">
      <c r="B17" s="61" t="s">
        <v>69</v>
      </c>
      <c r="C17" s="34" t="s">
        <v>52</v>
      </c>
      <c r="D17" s="39">
        <f>+D10/$D$25</f>
        <v>8.2363286490705118E-4</v>
      </c>
      <c r="E17" s="39">
        <f t="shared" ref="E17:G17" si="2">+E10/$D$25</f>
        <v>6.8635700064170822E-4</v>
      </c>
      <c r="F17" s="39">
        <f t="shared" si="2"/>
        <v>8.2364706997768114E-4</v>
      </c>
      <c r="G17" s="40">
        <f t="shared" si="2"/>
        <v>0</v>
      </c>
    </row>
    <row r="18" spans="2:11" x14ac:dyDescent="0.25">
      <c r="B18" s="61"/>
      <c r="C18" s="25" t="s">
        <v>41</v>
      </c>
      <c r="D18" s="41">
        <f t="shared" ref="D18:G23" si="3">+D11/$D$25</f>
        <v>6.008464838377741E-5</v>
      </c>
      <c r="E18" s="41">
        <f t="shared" si="3"/>
        <v>3.7678853754578997E-5</v>
      </c>
      <c r="F18" s="41">
        <f t="shared" si="3"/>
        <v>1.7394869482105198E-4</v>
      </c>
      <c r="G18" s="42">
        <f t="shared" si="3"/>
        <v>0</v>
      </c>
    </row>
    <row r="19" spans="2:11" x14ac:dyDescent="0.25">
      <c r="B19" s="61"/>
      <c r="C19" s="25" t="s">
        <v>42</v>
      </c>
      <c r="D19" s="41">
        <f t="shared" si="3"/>
        <v>2.1955029356413844E-4</v>
      </c>
      <c r="E19" s="41">
        <f t="shared" si="3"/>
        <v>1.5517400616669555E-4</v>
      </c>
      <c r="F19" s="41">
        <f t="shared" si="3"/>
        <v>8.9583577832841755E-5</v>
      </c>
      <c r="G19" s="42">
        <f t="shared" si="3"/>
        <v>0</v>
      </c>
    </row>
    <row r="20" spans="2:11" x14ac:dyDescent="0.25">
      <c r="B20" s="61"/>
      <c r="C20" s="25" t="s">
        <v>49</v>
      </c>
      <c r="D20" s="41">
        <f t="shared" si="3"/>
        <v>1.83694089841352E-4</v>
      </c>
      <c r="E20" s="41">
        <f t="shared" si="3"/>
        <v>1.2983151772238594E-4</v>
      </c>
      <c r="F20" s="41">
        <f t="shared" si="3"/>
        <v>4.3487173705262995E-5</v>
      </c>
      <c r="G20" s="42">
        <f t="shared" si="3"/>
        <v>4.6786132512571509E-5</v>
      </c>
      <c r="K20" s="3"/>
    </row>
    <row r="21" spans="2:11" x14ac:dyDescent="0.25">
      <c r="B21" s="61"/>
      <c r="C21" s="25" t="s">
        <v>54</v>
      </c>
      <c r="D21" s="41">
        <f t="shared" si="3"/>
        <v>1.1366252881372561E-4</v>
      </c>
      <c r="E21" s="41">
        <f t="shared" si="3"/>
        <v>1.1366252881372561E-4</v>
      </c>
      <c r="F21" s="41">
        <f t="shared" si="3"/>
        <v>0</v>
      </c>
      <c r="G21" s="42">
        <f t="shared" si="3"/>
        <v>0</v>
      </c>
    </row>
    <row r="22" spans="2:11" x14ac:dyDescent="0.25">
      <c r="B22" s="62"/>
      <c r="C22" s="25" t="s">
        <v>53</v>
      </c>
      <c r="D22" s="41">
        <f t="shared" si="3"/>
        <v>6.8636792761911589E-5</v>
      </c>
      <c r="E22" s="41">
        <f t="shared" si="3"/>
        <v>6.8636792761911589E-5</v>
      </c>
      <c r="F22" s="41">
        <f t="shared" si="3"/>
        <v>6.8636792761911589E-5</v>
      </c>
      <c r="G22" s="42">
        <f t="shared" si="3"/>
        <v>6.8636792761911589E-5</v>
      </c>
    </row>
    <row r="23" spans="2:11" ht="15.75" thickBot="1" x14ac:dyDescent="0.3">
      <c r="B23" s="63"/>
      <c r="C23" s="38" t="s">
        <v>67</v>
      </c>
      <c r="D23" s="43">
        <f>+D16/$D$25</f>
        <v>1.4692612182719562E-3</v>
      </c>
      <c r="E23" s="43">
        <f t="shared" si="3"/>
        <v>1.1913406998610059E-3</v>
      </c>
      <c r="F23" s="43">
        <f t="shared" si="3"/>
        <v>1.1993033090987495E-3</v>
      </c>
      <c r="G23" s="44">
        <f t="shared" si="3"/>
        <v>1.1542292527448311E-4</v>
      </c>
    </row>
    <row r="25" spans="2:11" x14ac:dyDescent="0.25">
      <c r="C25" t="s">
        <v>66</v>
      </c>
      <c r="D25" s="1">
        <v>5463542000000</v>
      </c>
      <c r="G25" s="33"/>
      <c r="J25" s="46"/>
    </row>
    <row r="27" spans="2:11" x14ac:dyDescent="0.25">
      <c r="B27" s="52"/>
      <c r="C27" s="52"/>
      <c r="D27" s="52"/>
      <c r="E27" s="52"/>
      <c r="F27" s="52"/>
      <c r="G27" s="52"/>
    </row>
    <row r="36" spans="4:7" x14ac:dyDescent="0.25">
      <c r="D36" s="33"/>
      <c r="E36" s="33"/>
      <c r="F36" s="33"/>
      <c r="G36" s="33"/>
    </row>
  </sheetData>
  <mergeCells count="5">
    <mergeCell ref="B4:B9"/>
    <mergeCell ref="B10:B16"/>
    <mergeCell ref="B2:G2"/>
    <mergeCell ref="B27:G27"/>
    <mergeCell ref="B17:B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Mlada osoba</vt:lpstr>
      <vt:lpstr>Preduzeće</vt:lpstr>
      <vt:lpstr>Država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2021-11-23T12:20:29Z</dcterms:modified>
</cp:coreProperties>
</file>